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ACC8CCC-6BBD-4EFE-8238-D7981568C3C0}" xr6:coauthVersionLast="47" xr6:coauthVersionMax="47" xr10:uidLastSave="{00000000-0000-0000-0000-000000000000}"/>
  <bookViews>
    <workbookView xWindow="-120" yWindow="-120" windowWidth="20730" windowHeight="11040" xr2:uid="{6139C418-D025-4016-9502-60AF3DB28E9D}"/>
  </bookViews>
  <sheets>
    <sheet name="HYBRID FEE-ONE YEAR " sheetId="1" r:id="rId1"/>
    <sheet name="FIXED FEE-ONE YEAR " sheetId="2" r:id="rId2"/>
    <sheet name="HYBRID FEE-MULTI YEAR 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" l="1"/>
  <c r="E21" i="2"/>
  <c r="D19" i="3" l="1"/>
  <c r="H29" i="3" s="1"/>
  <c r="F17" i="2"/>
  <c r="F18" i="2" s="1"/>
  <c r="F19" i="2" s="1"/>
  <c r="E17" i="2"/>
  <c r="E18" i="2" s="1"/>
  <c r="E19" i="2" s="1"/>
  <c r="D17" i="2"/>
  <c r="F19" i="1"/>
  <c r="F29" i="1" s="1"/>
  <c r="E19" i="1"/>
  <c r="E20" i="1" s="1"/>
  <c r="E21" i="1" s="1"/>
  <c r="D19" i="1"/>
  <c r="D29" i="1" s="1"/>
  <c r="E36" i="1" l="1"/>
  <c r="F36" i="1"/>
  <c r="E20" i="2"/>
  <c r="D18" i="2"/>
  <c r="D19" i="2" s="1"/>
  <c r="F20" i="2"/>
  <c r="E29" i="1"/>
  <c r="E22" i="1"/>
  <c r="E23" i="1" s="1"/>
  <c r="D20" i="1"/>
  <c r="D21" i="1" s="1"/>
  <c r="F20" i="1"/>
  <c r="F21" i="1" s="1"/>
  <c r="D20" i="3"/>
  <c r="D21" i="3" s="1"/>
  <c r="D22" i="3" s="1"/>
  <c r="D20" i="2" l="1"/>
  <c r="F21" i="2"/>
  <c r="F22" i="2"/>
  <c r="E22" i="2"/>
  <c r="D22" i="1"/>
  <c r="F22" i="1"/>
  <c r="E24" i="1"/>
  <c r="D23" i="3"/>
  <c r="D25" i="3" s="1"/>
  <c r="D26" i="3" s="1"/>
  <c r="D27" i="3" s="1"/>
  <c r="D24" i="3"/>
  <c r="D24" i="1" l="1"/>
  <c r="E25" i="1"/>
  <c r="E23" i="2"/>
  <c r="E24" i="2" s="1"/>
  <c r="E25" i="2" s="1"/>
  <c r="E26" i="2" s="1"/>
  <c r="E27" i="2" s="1"/>
  <c r="D22" i="2"/>
  <c r="D21" i="2"/>
  <c r="F23" i="2"/>
  <c r="F24" i="2" s="1"/>
  <c r="F25" i="2" s="1"/>
  <c r="F26" i="2" s="1"/>
  <c r="F27" i="2" s="1"/>
  <c r="F23" i="1"/>
  <c r="F24" i="1"/>
  <c r="D23" i="1"/>
  <c r="D25" i="1" s="1"/>
  <c r="D28" i="3"/>
  <c r="E26" i="1" l="1"/>
  <c r="E27" i="1" s="1"/>
  <c r="E28" i="1" s="1"/>
  <c r="D23" i="2"/>
  <c r="D24" i="2" s="1"/>
  <c r="D25" i="2" s="1"/>
  <c r="D26" i="2" s="1"/>
  <c r="D27" i="2" s="1"/>
  <c r="F25" i="1"/>
  <c r="F26" i="1" s="1"/>
  <c r="D26" i="1"/>
  <c r="D27" i="1" s="1"/>
  <c r="D28" i="1" s="1"/>
  <c r="D30" i="1" s="1"/>
  <c r="E19" i="3"/>
  <c r="E20" i="3" s="1"/>
  <c r="E21" i="3" s="1"/>
  <c r="E22" i="3" s="1"/>
  <c r="D34" i="3"/>
  <c r="D35" i="3" s="1"/>
  <c r="E35" i="1" l="1"/>
  <c r="E30" i="1"/>
  <c r="E24" i="3"/>
  <c r="E23" i="3"/>
  <c r="E25" i="3" s="1"/>
  <c r="E26" i="3" s="1"/>
  <c r="F27" i="1"/>
  <c r="F28" i="1" s="1"/>
  <c r="F35" i="1" s="1"/>
  <c r="D31" i="1" l="1"/>
  <c r="D32" i="1" s="1"/>
  <c r="D33" i="1" s="1"/>
  <c r="D34" i="1" s="1"/>
  <c r="D35" i="1" s="1"/>
  <c r="D36" i="1"/>
  <c r="E27" i="3"/>
  <c r="E28" i="3" s="1"/>
  <c r="F30" i="1"/>
  <c r="F19" i="3" l="1"/>
  <c r="F20" i="3" s="1"/>
  <c r="F21" i="3" s="1"/>
  <c r="F22" i="3" s="1"/>
  <c r="F24" i="3" s="1"/>
  <c r="E34" i="3"/>
  <c r="E35" i="3" s="1"/>
  <c r="F23" i="3" l="1"/>
  <c r="F25" i="3"/>
  <c r="F26" i="3"/>
  <c r="F27" i="3" s="1"/>
  <c r="F28" i="3" l="1"/>
  <c r="F34" i="3" l="1"/>
  <c r="F35" i="3" s="1"/>
  <c r="G19" i="3"/>
  <c r="G20" i="3" s="1"/>
  <c r="G21" i="3" s="1"/>
  <c r="G22" i="3" s="1"/>
  <c r="G23" i="3" l="1"/>
  <c r="G24" i="3"/>
  <c r="G25" i="3" l="1"/>
  <c r="G26" i="3" s="1"/>
  <c r="G27" i="3"/>
  <c r="G28" i="3" s="1"/>
  <c r="H19" i="3" s="1"/>
  <c r="H20" i="3" s="1"/>
  <c r="H21" i="3" s="1"/>
  <c r="H22" i="3" s="1"/>
  <c r="G34" i="3" l="1"/>
  <c r="G35" i="3" s="1"/>
  <c r="H23" i="3"/>
  <c r="H24" i="3"/>
  <c r="H25" i="3" l="1"/>
  <c r="H26" i="3"/>
  <c r="H27" i="3" l="1"/>
  <c r="H28" i="3" s="1"/>
  <c r="H31" i="3" s="1"/>
  <c r="H36" i="3" l="1"/>
  <c r="H33" i="3"/>
  <c r="H34" i="3" s="1"/>
  <c r="H35" i="3" s="1"/>
  <c r="H30" i="3"/>
</calcChain>
</file>

<file path=xl/sharedStrings.xml><?xml version="1.0" encoding="utf-8"?>
<sst xmlns="http://schemas.openxmlformats.org/spreadsheetml/2006/main" count="243" uniqueCount="156">
  <si>
    <t xml:space="preserve">Assumptions </t>
  </si>
  <si>
    <t xml:space="preserve">Details </t>
  </si>
  <si>
    <t xml:space="preserve">Remarks </t>
  </si>
  <si>
    <t xml:space="preserve">Capital Contribution </t>
  </si>
  <si>
    <t>a</t>
  </si>
  <si>
    <t>b</t>
  </si>
  <si>
    <t>c</t>
  </si>
  <si>
    <t>Performance Fee ( %age per annum)</t>
  </si>
  <si>
    <t>d</t>
  </si>
  <si>
    <t>Other Expenses ( %age per annum)</t>
  </si>
  <si>
    <t>Management Fee ( %age  per annum)</t>
  </si>
  <si>
    <t>Hurdle Rate of Return ( % age per annum)</t>
  </si>
  <si>
    <t>e</t>
  </si>
  <si>
    <t>Term</t>
  </si>
  <si>
    <t>f</t>
  </si>
  <si>
    <t xml:space="preserve">5 years </t>
  </si>
  <si>
    <t xml:space="preserve">Brokerage </t>
  </si>
  <si>
    <t>g</t>
  </si>
  <si>
    <t>on daily average AUM,charged quarterly in arrear</t>
  </si>
  <si>
    <t>Fund Accounting/Custodian charge/ Demat Charges/ Other Statutory Charge</t>
  </si>
  <si>
    <t>on the incremental profit above 10% p.a ( determined on High Water Mark Basis)</t>
  </si>
  <si>
    <t xml:space="preserve">Simple Interest </t>
  </si>
  <si>
    <t xml:space="preserve">Scenario -1 </t>
  </si>
  <si>
    <t xml:space="preserve">Scenario-2 </t>
  </si>
  <si>
    <t xml:space="preserve">Scenario-3 </t>
  </si>
  <si>
    <t xml:space="preserve">Particulars </t>
  </si>
  <si>
    <t>i</t>
  </si>
  <si>
    <t>i=(a)</t>
  </si>
  <si>
    <t>ii</t>
  </si>
  <si>
    <t>ii=(i*scenario)</t>
  </si>
  <si>
    <t>Gain/( loss) on Investment based on the scenario</t>
  </si>
  <si>
    <t>iii</t>
  </si>
  <si>
    <t>iii=(i+ii)</t>
  </si>
  <si>
    <t xml:space="preserve">Gross Value of the Assets at the end of the year </t>
  </si>
  <si>
    <t>iv</t>
  </si>
  <si>
    <t>iv=(i+iii)/2</t>
  </si>
  <si>
    <t xml:space="preserve">Average of daily average assets under management </t>
  </si>
  <si>
    <t>v</t>
  </si>
  <si>
    <t>v=(iv*c)</t>
  </si>
  <si>
    <t xml:space="preserve">Other Expense </t>
  </si>
  <si>
    <t>vi</t>
  </si>
  <si>
    <t>vi=(iv*g)</t>
  </si>
  <si>
    <t>vii</t>
  </si>
  <si>
    <t>vii=(iv+v+vi)*b</t>
  </si>
  <si>
    <t>viii</t>
  </si>
  <si>
    <t xml:space="preserve">Total Charges Before Performance Fees </t>
  </si>
  <si>
    <t>ix</t>
  </si>
  <si>
    <t>Gross Value of the Assets before Performance Fees</t>
  </si>
  <si>
    <t>x</t>
  </si>
  <si>
    <t>x=(i*e)</t>
  </si>
  <si>
    <t xml:space="preserve">Hurdle rate of return as defined in PMS Agreement </t>
  </si>
  <si>
    <t>xi</t>
  </si>
  <si>
    <t xml:space="preserve">Gross Value of Assets is greater than HWM+ hurdle rate </t>
  </si>
  <si>
    <t>xii</t>
  </si>
  <si>
    <t>xii=(ix-x-i)</t>
  </si>
  <si>
    <t>Portfolio return subject to Performance Fee</t>
  </si>
  <si>
    <t>xiii</t>
  </si>
  <si>
    <t>xiii=(xii*d)</t>
  </si>
  <si>
    <t>Performance Fees (Including Taxes )</t>
  </si>
  <si>
    <t>xiv</t>
  </si>
  <si>
    <t>Net Value of Asset at the end of the year after all fee and expenses</t>
  </si>
  <si>
    <t>xv</t>
  </si>
  <si>
    <t>xv=((xiv)-i/i))%</t>
  </si>
  <si>
    <t>% Portfolio Returns</t>
  </si>
  <si>
    <t>xvi</t>
  </si>
  <si>
    <t>xvi=(ix,i)</t>
  </si>
  <si>
    <t>High Water Mark to be carried forward for next year</t>
  </si>
  <si>
    <t xml:space="preserve">Term </t>
  </si>
  <si>
    <t xml:space="preserve">5 Years </t>
  </si>
  <si>
    <t>Scenario 1</t>
  </si>
  <si>
    <t>Scenario 2</t>
  </si>
  <si>
    <t>Scenario 3</t>
  </si>
  <si>
    <t xml:space="preserve">Capital Contributed/Assets under Management </t>
  </si>
  <si>
    <t xml:space="preserve">Gain/Loss on Investment based on the scenario </t>
  </si>
  <si>
    <t>other expenses</t>
  </si>
  <si>
    <t>viii=(v+vi+vii)</t>
  </si>
  <si>
    <t xml:space="preserve">Total Charges During the year </t>
  </si>
  <si>
    <t>ix=(iii-viii)</t>
  </si>
  <si>
    <t>Net Value of the Asset at the end of the year after all fees and expenses</t>
  </si>
  <si>
    <t>Capital Contribution</t>
  </si>
  <si>
    <t xml:space="preserve">Other Expenses </t>
  </si>
  <si>
    <t>Year 1</t>
  </si>
  <si>
    <t>Year 2</t>
  </si>
  <si>
    <t>Year 3</t>
  </si>
  <si>
    <t>Year 4</t>
  </si>
  <si>
    <t>Year 5</t>
  </si>
  <si>
    <t>Amount (Rs)</t>
  </si>
  <si>
    <t xml:space="preserve">Gain/Loss (%) on investment </t>
  </si>
  <si>
    <t>i=a</t>
  </si>
  <si>
    <t>ii=(i*Scenario)</t>
  </si>
  <si>
    <t>Gain/Loss on Investment based on the scenario</t>
  </si>
  <si>
    <t>Gross Value of the Assests at the end of the year</t>
  </si>
  <si>
    <t xml:space="preserve">Average of daily average Assets under Management </t>
  </si>
  <si>
    <t xml:space="preserve">Total Charges before Performance Fees </t>
  </si>
  <si>
    <t>x=(i*e*f)</t>
  </si>
  <si>
    <t>xi=ix&gt;(i+x) then yes else no P.Fees</t>
  </si>
  <si>
    <t>Gross value of Assets is greater than HWM + hurdle return</t>
  </si>
  <si>
    <t>xiii = (xii * d)</t>
  </si>
  <si>
    <t>Performance Fee (including taxes)</t>
  </si>
  <si>
    <t>Net Value of Asset at the end of the year after all fees and expense</t>
  </si>
  <si>
    <t>xv = ((xiv -i)/i)) %</t>
  </si>
  <si>
    <t>xvi = (ix, i)</t>
  </si>
  <si>
    <t>Management Fee (%age per annum)</t>
  </si>
  <si>
    <t>Other expenses (%age per annum</t>
  </si>
  <si>
    <t>Performance Fee (%age per annum)</t>
  </si>
  <si>
    <t>Hurdle Rate of Return (%age per annum</t>
  </si>
  <si>
    <t>Brokerage</t>
  </si>
  <si>
    <t>on daily average AUM, charged quarterly in arrear</t>
  </si>
  <si>
    <t>Fund Accounting /Custodian Charges/ Demat Charges/other Statutory Charge</t>
  </si>
  <si>
    <t>on the incremental profit above 10% p.a. (determined on High Water Mark Basis)- charged on completion of 5 years from date of first capital contribution</t>
  </si>
  <si>
    <t xml:space="preserve">Simple interest </t>
  </si>
  <si>
    <t>max – charged on actual</t>
  </si>
  <si>
    <t>HYBRID FEE-ONE YEAR</t>
  </si>
  <si>
    <t>The example given hereunder is to enable the Client to understand the fees/ expense structure.</t>
  </si>
  <si>
    <t>The amount of fees/expenses in the below example are purely hypothetical</t>
  </si>
  <si>
    <t xml:space="preserve">PARTICULARS </t>
  </si>
  <si>
    <t xml:space="preserve">GAIN/LOSS (%) ON INVESTMENT </t>
  </si>
  <si>
    <t>AMOUNT (RS.)</t>
  </si>
  <si>
    <t>Managemet Fees ( including taxes)</t>
  </si>
  <si>
    <t>The illustration is indicative only and client should review and examine the detailed terms mentioned in the SCHEDULE A with respect to the applicable fee/charge and the same will prevail in case of any conflict with the illustration</t>
  </si>
  <si>
    <t>All fee is subject to applicable taxes-currently 18% GST</t>
  </si>
  <si>
    <t>For ease of Calculation average AUM for fee is hypothetical number ( arrived by average of opening and closing assest for the period)</t>
  </si>
  <si>
    <t>Management fee is assumed to be total of fee charged on quarterly basis</t>
  </si>
  <si>
    <t xml:space="preserve">All the fees and expenses are charged from portfolio Directly </t>
  </si>
  <si>
    <t>Brokerage and other expenses is charged on average assest for ease of calculation, however the same is charged on actual</t>
  </si>
  <si>
    <t xml:space="preserve">max -charged on actual </t>
  </si>
  <si>
    <t>AMOUNT (RS)</t>
  </si>
  <si>
    <t xml:space="preserve">Average of daily Average Assests Under Management </t>
  </si>
  <si>
    <t>Management Fees ( including taxes)</t>
  </si>
  <si>
    <t>% Portfolio Return</t>
  </si>
  <si>
    <t>Disclaimers:</t>
  </si>
  <si>
    <t>FIXED FEE-ONE YEAR</t>
  </si>
  <si>
    <t>HYBRID FEE-MULTI YEAR</t>
  </si>
  <si>
    <t>Remarks</t>
  </si>
  <si>
    <t>Mangement Fees (Including Taxes)</t>
  </si>
  <si>
    <t>Management Fees( % age per annum)</t>
  </si>
  <si>
    <t>Other Expenses( % per annum)</t>
  </si>
  <si>
    <t xml:space="preserve">Max- charged on actual </t>
  </si>
  <si>
    <t>FEE ILLUSTRATION-1</t>
  </si>
  <si>
    <t>The illustration is indicative only and Client should review and examine the detailed terms mentioned in the SCHEDULE A with respect to the applicable fee/charges and the same will prevail in case of any conflict with the illustration</t>
  </si>
  <si>
    <t>FEE ILLUSTRATION-2</t>
  </si>
  <si>
    <t xml:space="preserve">All the fees and expenses are charged from portfolio directly </t>
  </si>
  <si>
    <t xml:space="preserve">Hurdle Return as defined in PMS Agreement </t>
  </si>
  <si>
    <t>FEE ILLUSTRATION-3</t>
  </si>
  <si>
    <t>Brokerage and other expenses is chaRged on average asset for ease of calculation, however the same is charged on actual</t>
  </si>
  <si>
    <t>HWM is arrived at the time of charge of Performance fee.</t>
  </si>
  <si>
    <t>Gross Value of Assets before before Performance fees</t>
  </si>
  <si>
    <t>HWM is arrived at the time of charge of performance fees</t>
  </si>
  <si>
    <t>viii=(v+vi+viii)</t>
  </si>
  <si>
    <t>xi=ix&gt;(i+x) then yes else no p.fees</t>
  </si>
  <si>
    <t>xiv=(ix-xiii)</t>
  </si>
  <si>
    <t>vi=(iv*e)</t>
  </si>
  <si>
    <t>Years</t>
  </si>
  <si>
    <t>%Portfolio Returns</t>
  </si>
  <si>
    <t>xii = ( ix-x)</t>
  </si>
  <si>
    <t>x=((ix-i)/i))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</si>
</sst>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 applyProtection="1">
      <alignment horizontal="center"/>
    </xf>
    <xf numFmtId="43" fontId="3" fillId="0" borderId="0" xfId="0" applyNumberFormat="1" applyFont="1"/>
    <xf numFmtId="10" fontId="3" fillId="0" borderId="0" xfId="2" applyNumberFormat="1" applyFont="1" applyProtection="1"/>
    <xf numFmtId="0" fontId="3" fillId="0" borderId="1" xfId="0" applyFont="1" applyBorder="1" applyAlignment="1">
      <alignment horizontal="left" wrapText="1"/>
    </xf>
    <xf numFmtId="3" fontId="3" fillId="0" borderId="1" xfId="1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/>
    </xf>
    <xf numFmtId="10" fontId="3" fillId="0" borderId="1" xfId="2" applyNumberFormat="1" applyFont="1" applyFill="1" applyBorder="1" applyAlignment="1" applyProtection="1">
      <alignment horizontal="center"/>
    </xf>
    <xf numFmtId="3" fontId="3" fillId="2" borderId="1" xfId="1" applyNumberFormat="1" applyFont="1" applyFill="1" applyBorder="1" applyAlignment="1" applyProtection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 applyProtection="1">
      <alignment horizontal="center"/>
    </xf>
    <xf numFmtId="3" fontId="3" fillId="2" borderId="1" xfId="1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24672-7BC9-4848-8790-6675724C357C}">
  <dimension ref="A2:I45"/>
  <sheetViews>
    <sheetView tabSelected="1" workbookViewId="0">
      <selection activeCell="B39" sqref="B39"/>
    </sheetView>
  </sheetViews>
  <sheetFormatPr defaultColWidth="28.28515625" defaultRowHeight="15" x14ac:dyDescent="0.25"/>
  <cols>
    <col min="1" max="1" width="26.140625" style="1" customWidth="1"/>
    <col min="2" max="2" width="17.5703125" style="1" customWidth="1"/>
    <col min="3" max="3" width="36" style="1" customWidth="1"/>
    <col min="4" max="4" width="37.5703125" style="1" customWidth="1"/>
    <col min="5" max="16384" width="28.28515625" style="1"/>
  </cols>
  <sheetData>
    <row r="2" spans="1:6" x14ac:dyDescent="0.25">
      <c r="C2" s="2" t="s">
        <v>138</v>
      </c>
    </row>
    <row r="3" spans="1:6" x14ac:dyDescent="0.25">
      <c r="C3" s="2" t="s">
        <v>112</v>
      </c>
    </row>
    <row r="4" spans="1:6" x14ac:dyDescent="0.25">
      <c r="A4" s="1" t="s">
        <v>113</v>
      </c>
      <c r="C4" s="2"/>
    </row>
    <row r="5" spans="1:6" x14ac:dyDescent="0.25">
      <c r="A5" s="1" t="s">
        <v>114</v>
      </c>
      <c r="C5" s="2"/>
    </row>
    <row r="7" spans="1:6" x14ac:dyDescent="0.25">
      <c r="A7" s="4" t="s">
        <v>0</v>
      </c>
      <c r="B7" s="4"/>
      <c r="C7" s="4" t="s">
        <v>1</v>
      </c>
      <c r="D7" s="4" t="s">
        <v>2</v>
      </c>
    </row>
    <row r="8" spans="1:6" x14ac:dyDescent="0.25">
      <c r="A8" s="7" t="s">
        <v>3</v>
      </c>
      <c r="B8" s="5" t="s">
        <v>4</v>
      </c>
      <c r="C8" s="29">
        <v>5000000</v>
      </c>
      <c r="D8" s="6"/>
    </row>
    <row r="9" spans="1:6" ht="30" x14ac:dyDescent="0.25">
      <c r="A9" s="7" t="s">
        <v>10</v>
      </c>
      <c r="B9" s="5" t="s">
        <v>5</v>
      </c>
      <c r="C9" s="30">
        <v>0.02</v>
      </c>
      <c r="D9" s="7" t="s">
        <v>18</v>
      </c>
    </row>
    <row r="10" spans="1:6" ht="45" x14ac:dyDescent="0.25">
      <c r="A10" s="7" t="s">
        <v>9</v>
      </c>
      <c r="B10" s="5" t="s">
        <v>6</v>
      </c>
      <c r="C10" s="31">
        <v>2.5000000000000001E-3</v>
      </c>
      <c r="D10" s="7" t="s">
        <v>19</v>
      </c>
    </row>
    <row r="11" spans="1:6" ht="45" x14ac:dyDescent="0.25">
      <c r="A11" s="7" t="s">
        <v>7</v>
      </c>
      <c r="B11" s="5" t="s">
        <v>8</v>
      </c>
      <c r="C11" s="30">
        <v>0.2</v>
      </c>
      <c r="D11" s="7" t="s">
        <v>20</v>
      </c>
    </row>
    <row r="12" spans="1:6" ht="30" x14ac:dyDescent="0.25">
      <c r="A12" s="7" t="s">
        <v>11</v>
      </c>
      <c r="B12" s="5" t="s">
        <v>12</v>
      </c>
      <c r="C12" s="30">
        <v>0.1</v>
      </c>
      <c r="D12" s="7" t="s">
        <v>21</v>
      </c>
    </row>
    <row r="13" spans="1:6" x14ac:dyDescent="0.25">
      <c r="A13" s="7" t="s">
        <v>13</v>
      </c>
      <c r="B13" s="5" t="s">
        <v>14</v>
      </c>
      <c r="C13" s="32" t="s">
        <v>15</v>
      </c>
      <c r="D13" s="7"/>
    </row>
    <row r="14" spans="1:6" x14ac:dyDescent="0.25">
      <c r="A14" s="6" t="s">
        <v>16</v>
      </c>
      <c r="B14" s="5" t="s">
        <v>17</v>
      </c>
      <c r="C14" s="31">
        <v>1.5E-3</v>
      </c>
      <c r="D14" s="7" t="s">
        <v>137</v>
      </c>
    </row>
    <row r="16" spans="1:6" x14ac:dyDescent="0.25">
      <c r="A16" s="6"/>
      <c r="B16" s="6"/>
      <c r="C16" s="6"/>
      <c r="D16" s="4" t="s">
        <v>22</v>
      </c>
      <c r="E16" s="4" t="s">
        <v>23</v>
      </c>
      <c r="F16" s="4" t="s">
        <v>24</v>
      </c>
    </row>
    <row r="17" spans="1:9" x14ac:dyDescent="0.25">
      <c r="A17" s="6"/>
      <c r="B17" s="6"/>
      <c r="C17" s="3" t="s">
        <v>115</v>
      </c>
      <c r="D17" s="36" t="s">
        <v>117</v>
      </c>
      <c r="E17" s="37"/>
      <c r="F17" s="38"/>
    </row>
    <row r="18" spans="1:9" x14ac:dyDescent="0.25">
      <c r="A18" s="6"/>
      <c r="B18" s="6"/>
      <c r="C18" s="10" t="s">
        <v>116</v>
      </c>
      <c r="D18" s="9">
        <v>0.25</v>
      </c>
      <c r="E18" s="9">
        <v>-0.05</v>
      </c>
      <c r="F18" s="9">
        <v>0</v>
      </c>
    </row>
    <row r="19" spans="1:9" ht="30" x14ac:dyDescent="0.25">
      <c r="A19" s="5" t="s">
        <v>26</v>
      </c>
      <c r="B19" s="6" t="s">
        <v>27</v>
      </c>
      <c r="C19" s="7" t="s">
        <v>72</v>
      </c>
      <c r="D19" s="23">
        <f>$C$8</f>
        <v>5000000</v>
      </c>
      <c r="E19" s="23">
        <f t="shared" ref="E19:F19" si="0">$C$8</f>
        <v>5000000</v>
      </c>
      <c r="F19" s="23">
        <f t="shared" si="0"/>
        <v>5000000</v>
      </c>
    </row>
    <row r="20" spans="1:9" ht="30" x14ac:dyDescent="0.25">
      <c r="A20" s="5" t="s">
        <v>28</v>
      </c>
      <c r="B20" s="6" t="s">
        <v>29</v>
      </c>
      <c r="C20" s="7" t="s">
        <v>30</v>
      </c>
      <c r="D20" s="23">
        <f>D19*D18</f>
        <v>1250000</v>
      </c>
      <c r="E20" s="23">
        <f t="shared" ref="E20:F20" si="1">E19*E18</f>
        <v>-250000</v>
      </c>
      <c r="F20" s="23">
        <f t="shared" si="1"/>
        <v>0</v>
      </c>
    </row>
    <row r="21" spans="1:9" ht="30" x14ac:dyDescent="0.25">
      <c r="A21" s="5" t="s">
        <v>31</v>
      </c>
      <c r="B21" s="6" t="s">
        <v>32</v>
      </c>
      <c r="C21" s="10" t="s">
        <v>33</v>
      </c>
      <c r="D21" s="23">
        <f>D19+D20</f>
        <v>6250000</v>
      </c>
      <c r="E21" s="23">
        <f t="shared" ref="E21:F21" si="2">E19+E20</f>
        <v>4750000</v>
      </c>
      <c r="F21" s="23">
        <f t="shared" si="2"/>
        <v>5000000</v>
      </c>
    </row>
    <row r="22" spans="1:9" ht="30" x14ac:dyDescent="0.25">
      <c r="A22" s="5" t="s">
        <v>34</v>
      </c>
      <c r="B22" s="6" t="s">
        <v>35</v>
      </c>
      <c r="C22" s="7" t="s">
        <v>36</v>
      </c>
      <c r="D22" s="23">
        <f>(D19+D21)/2</f>
        <v>5625000</v>
      </c>
      <c r="E22" s="23">
        <f t="shared" ref="E22:F22" si="3">(E19+E21)/2</f>
        <v>4875000</v>
      </c>
      <c r="F22" s="23">
        <f t="shared" si="3"/>
        <v>5000000</v>
      </c>
    </row>
    <row r="23" spans="1:9" x14ac:dyDescent="0.25">
      <c r="A23" s="5" t="s">
        <v>37</v>
      </c>
      <c r="B23" s="6" t="s">
        <v>38</v>
      </c>
      <c r="C23" s="7" t="s">
        <v>39</v>
      </c>
      <c r="D23" s="19">
        <f>-(D22*$C$10)</f>
        <v>-14062.5</v>
      </c>
      <c r="E23" s="27">
        <f>ROUNDDOWN(-(E22*$C$10),0)</f>
        <v>-12187</v>
      </c>
      <c r="F23" s="19">
        <f t="shared" ref="F23" si="4">-(F22*$C$10)</f>
        <v>-12500</v>
      </c>
    </row>
    <row r="24" spans="1:9" x14ac:dyDescent="0.25">
      <c r="A24" s="5" t="s">
        <v>40</v>
      </c>
      <c r="B24" s="6" t="s">
        <v>41</v>
      </c>
      <c r="C24" s="7" t="s">
        <v>16</v>
      </c>
      <c r="D24" s="19">
        <f>ROUNDUP(-(D22*$C$14),0)</f>
        <v>-8438</v>
      </c>
      <c r="E24" s="19">
        <f t="shared" ref="E24:F24" si="5">-(E22*$C$14)</f>
        <v>-7312.5</v>
      </c>
      <c r="F24" s="19">
        <f t="shared" si="5"/>
        <v>-7500</v>
      </c>
      <c r="I24" s="20"/>
    </row>
    <row r="25" spans="1:9" hidden="1" x14ac:dyDescent="0.25">
      <c r="A25" s="6"/>
      <c r="B25" s="6"/>
      <c r="C25" s="7"/>
      <c r="D25" s="19">
        <f>(D22+D23+D24)*$C$9</f>
        <v>112049.99</v>
      </c>
      <c r="E25" s="19">
        <f t="shared" ref="E25:F25" si="6">(E22+E23+E24)*$C$9</f>
        <v>97110.01</v>
      </c>
      <c r="F25" s="19">
        <f t="shared" si="6"/>
        <v>99600</v>
      </c>
      <c r="I25" s="20"/>
    </row>
    <row r="26" spans="1:9" x14ac:dyDescent="0.25">
      <c r="A26" s="5" t="s">
        <v>42</v>
      </c>
      <c r="B26" s="6" t="s">
        <v>43</v>
      </c>
      <c r="C26" s="7" t="s">
        <v>118</v>
      </c>
      <c r="D26" s="19">
        <f>-((D25*18%)+D25)</f>
        <v>-132218.98820000002</v>
      </c>
      <c r="E26" s="19">
        <f>ROUNDDOWN(-((E25*18%)+E25),0)</f>
        <v>-114589</v>
      </c>
      <c r="F26" s="19">
        <f t="shared" ref="F26" si="7">-((F25*18%)+F25)</f>
        <v>-117528</v>
      </c>
      <c r="I26" s="20"/>
    </row>
    <row r="27" spans="1:9" ht="30" x14ac:dyDescent="0.25">
      <c r="A27" s="5" t="s">
        <v>44</v>
      </c>
      <c r="B27" s="6" t="s">
        <v>148</v>
      </c>
      <c r="C27" s="10" t="s">
        <v>45</v>
      </c>
      <c r="D27" s="27">
        <f>ROUNDUP(D26+D24+D23,0)</f>
        <v>-154720</v>
      </c>
      <c r="E27" s="27">
        <f t="shared" ref="E27:F27" si="8">E26+E24+E23</f>
        <v>-134088.5</v>
      </c>
      <c r="F27" s="27">
        <f t="shared" si="8"/>
        <v>-137528</v>
      </c>
      <c r="I27" s="20"/>
    </row>
    <row r="28" spans="1:9" ht="30" x14ac:dyDescent="0.25">
      <c r="A28" s="5" t="s">
        <v>46</v>
      </c>
      <c r="B28" s="6" t="s">
        <v>77</v>
      </c>
      <c r="C28" s="7" t="s">
        <v>47</v>
      </c>
      <c r="D28" s="27">
        <f>ROUNDDOWN(D21-(-D27),0)</f>
        <v>6095280</v>
      </c>
      <c r="E28" s="27">
        <f>ROUNDDOWN(E21-(-E27),0)</f>
        <v>4615911</v>
      </c>
      <c r="F28" s="27">
        <f>F21-(-F27)</f>
        <v>4862472</v>
      </c>
    </row>
    <row r="29" spans="1:9" ht="30" x14ac:dyDescent="0.25">
      <c r="A29" s="5" t="s">
        <v>48</v>
      </c>
      <c r="B29" s="6" t="s">
        <v>49</v>
      </c>
      <c r="C29" s="7" t="s">
        <v>50</v>
      </c>
      <c r="D29" s="19">
        <f>D19*$C$12</f>
        <v>500000</v>
      </c>
      <c r="E29" s="19">
        <f t="shared" ref="E29:F29" si="9">E19*$C$12</f>
        <v>500000</v>
      </c>
      <c r="F29" s="19">
        <f t="shared" si="9"/>
        <v>500000</v>
      </c>
    </row>
    <row r="30" spans="1:9" ht="44.25" customHeight="1" x14ac:dyDescent="0.25">
      <c r="A30" s="5" t="s">
        <v>51</v>
      </c>
      <c r="B30" s="7" t="s">
        <v>149</v>
      </c>
      <c r="C30" s="7" t="s">
        <v>52</v>
      </c>
      <c r="D30" s="19" t="str">
        <f>IF(D28&gt;(D19+D29),"Yes","No")</f>
        <v>Yes</v>
      </c>
      <c r="E30" s="19" t="str">
        <f t="shared" ref="E30:F30" si="10">IF(E28&gt;(E19+E29),"Yes","No")</f>
        <v>No</v>
      </c>
      <c r="F30" s="19" t="str">
        <f t="shared" si="10"/>
        <v>No</v>
      </c>
    </row>
    <row r="31" spans="1:9" ht="30" x14ac:dyDescent="0.25">
      <c r="A31" s="5" t="s">
        <v>53</v>
      </c>
      <c r="B31" s="6" t="s">
        <v>54</v>
      </c>
      <c r="C31" s="7" t="s">
        <v>55</v>
      </c>
      <c r="D31" s="27">
        <f>D28-D29-D19</f>
        <v>595280</v>
      </c>
      <c r="E31" s="19">
        <v>0</v>
      </c>
      <c r="F31" s="19">
        <v>0</v>
      </c>
    </row>
    <row r="32" spans="1:9" hidden="1" x14ac:dyDescent="0.25">
      <c r="A32" s="6"/>
      <c r="B32" s="6"/>
      <c r="C32" s="7"/>
      <c r="D32" s="19">
        <f>D31*C11</f>
        <v>119056</v>
      </c>
      <c r="E32" s="19"/>
      <c r="F32" s="19"/>
    </row>
    <row r="33" spans="1:6" x14ac:dyDescent="0.25">
      <c r="A33" s="5" t="s">
        <v>56</v>
      </c>
      <c r="B33" s="6" t="s">
        <v>57</v>
      </c>
      <c r="C33" s="7" t="s">
        <v>58</v>
      </c>
      <c r="D33" s="19">
        <f>(D32*18%)+D32</f>
        <v>140486.07999999999</v>
      </c>
      <c r="E33" s="19"/>
      <c r="F33" s="19"/>
    </row>
    <row r="34" spans="1:6" ht="30" x14ac:dyDescent="0.25">
      <c r="A34" s="5" t="s">
        <v>59</v>
      </c>
      <c r="B34" s="6" t="s">
        <v>150</v>
      </c>
      <c r="C34" s="10" t="s">
        <v>60</v>
      </c>
      <c r="D34" s="19">
        <f>(D21-D33+D27)</f>
        <v>5954793.9199999999</v>
      </c>
      <c r="E34" s="19"/>
      <c r="F34" s="19"/>
    </row>
    <row r="35" spans="1:6" x14ac:dyDescent="0.25">
      <c r="A35" s="5" t="s">
        <v>61</v>
      </c>
      <c r="B35" s="6" t="s">
        <v>62</v>
      </c>
      <c r="C35" s="7" t="s">
        <v>63</v>
      </c>
      <c r="D35" s="28">
        <f>((D34-D19)/D19)</f>
        <v>0.19095878399999999</v>
      </c>
      <c r="E35" s="28">
        <f>ROUNDUP(((E28-E19)/E19),4)</f>
        <v>-7.6899999999999996E-2</v>
      </c>
      <c r="F35" s="28">
        <f>((F28-F19)/F19)</f>
        <v>-2.7505600000000002E-2</v>
      </c>
    </row>
    <row r="36" spans="1:6" ht="30" x14ac:dyDescent="0.25">
      <c r="A36" s="5" t="s">
        <v>64</v>
      </c>
      <c r="B36" s="6" t="s">
        <v>65</v>
      </c>
      <c r="C36" s="7" t="s">
        <v>66</v>
      </c>
      <c r="D36" s="19">
        <f>D28</f>
        <v>6095280</v>
      </c>
      <c r="E36" s="19">
        <f>E19</f>
        <v>5000000</v>
      </c>
      <c r="F36" s="19">
        <f>F19</f>
        <v>5000000</v>
      </c>
    </row>
    <row r="38" spans="1:6" x14ac:dyDescent="0.25">
      <c r="A38" s="11" t="s">
        <v>130</v>
      </c>
    </row>
    <row r="39" spans="1:6" x14ac:dyDescent="0.25">
      <c r="A39" s="11" t="s">
        <v>139</v>
      </c>
    </row>
    <row r="40" spans="1:6" x14ac:dyDescent="0.25">
      <c r="A40" s="12" t="s">
        <v>120</v>
      </c>
    </row>
    <row r="41" spans="1:6" x14ac:dyDescent="0.25">
      <c r="A41" s="12" t="s">
        <v>121</v>
      </c>
    </row>
    <row r="42" spans="1:6" x14ac:dyDescent="0.25">
      <c r="A42" s="12" t="s">
        <v>122</v>
      </c>
    </row>
    <row r="43" spans="1:6" x14ac:dyDescent="0.25">
      <c r="A43" s="12" t="s">
        <v>123</v>
      </c>
    </row>
    <row r="44" spans="1:6" x14ac:dyDescent="0.25">
      <c r="A44" s="12" t="s">
        <v>124</v>
      </c>
    </row>
    <row r="45" spans="1:6" x14ac:dyDescent="0.25">
      <c r="A45" s="12" t="s">
        <v>145</v>
      </c>
    </row>
  </sheetData>
  <sheetProtection algorithmName="SHA-512" hashValue="kwoYhRpgKx7lN0WEiLSqQBps39gQB4f5LUgjAAxMS+1zWyd7w6tU0DL+06UbZ8hYsIrIUSk9zNfgt8cmk2pGUw==" saltValue="OF1uMF27P9gvkb8ECFjgNg==" spinCount="100000" sheet="1" objects="1" scenarios="1"/>
  <protectedRanges>
    <protectedRange sqref="C8:C14" name="Range1"/>
  </protectedRanges>
  <mergeCells count="1">
    <mergeCell ref="D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66D1-18C1-4C2F-98D1-BC2B99EBA573}">
  <dimension ref="A2:J36"/>
  <sheetViews>
    <sheetView topLeftCell="A17" workbookViewId="0">
      <selection activeCell="B28" sqref="B28"/>
    </sheetView>
  </sheetViews>
  <sheetFormatPr defaultRowHeight="15" x14ac:dyDescent="0.25"/>
  <cols>
    <col min="1" max="1" width="9.140625" style="1"/>
    <col min="2" max="2" width="35.140625" style="1" customWidth="1"/>
    <col min="3" max="3" width="35.5703125" style="1" customWidth="1"/>
    <col min="4" max="4" width="24.5703125" style="1" customWidth="1"/>
    <col min="5" max="5" width="27.140625" style="1" bestFit="1" customWidth="1"/>
    <col min="6" max="6" width="15.85546875" style="1" customWidth="1"/>
    <col min="7" max="8" width="10" style="1" bestFit="1" customWidth="1"/>
    <col min="9" max="9" width="9.140625" style="1"/>
    <col min="10" max="10" width="12.5703125" style="1" bestFit="1" customWidth="1"/>
    <col min="11" max="16384" width="9.140625" style="1"/>
  </cols>
  <sheetData>
    <row r="2" spans="1:6" x14ac:dyDescent="0.25">
      <c r="C2" s="2" t="s">
        <v>140</v>
      </c>
    </row>
    <row r="3" spans="1:6" x14ac:dyDescent="0.25">
      <c r="C3" s="2" t="s">
        <v>131</v>
      </c>
    </row>
    <row r="4" spans="1:6" x14ac:dyDescent="0.25">
      <c r="A4" s="1" t="s">
        <v>113</v>
      </c>
      <c r="C4" s="2"/>
    </row>
    <row r="5" spans="1:6" x14ac:dyDescent="0.25">
      <c r="A5" s="1" t="s">
        <v>114</v>
      </c>
      <c r="C5" s="2"/>
    </row>
    <row r="6" spans="1:6" x14ac:dyDescent="0.25">
      <c r="C6" s="2"/>
    </row>
    <row r="7" spans="1:6" x14ac:dyDescent="0.25">
      <c r="B7" s="4" t="s">
        <v>0</v>
      </c>
      <c r="C7" s="4"/>
      <c r="D7" s="4" t="s">
        <v>1</v>
      </c>
      <c r="E7" s="4" t="s">
        <v>2</v>
      </c>
    </row>
    <row r="8" spans="1:6" x14ac:dyDescent="0.25">
      <c r="B8" s="8" t="s">
        <v>3</v>
      </c>
      <c r="C8" s="5" t="s">
        <v>4</v>
      </c>
      <c r="D8" s="33">
        <v>5000000</v>
      </c>
      <c r="E8" s="6"/>
    </row>
    <row r="9" spans="1:6" ht="45" x14ac:dyDescent="0.25">
      <c r="B9" s="8" t="s">
        <v>135</v>
      </c>
      <c r="C9" s="5" t="s">
        <v>5</v>
      </c>
      <c r="D9" s="31">
        <v>2.5000000000000001E-2</v>
      </c>
      <c r="E9" s="7" t="s">
        <v>18</v>
      </c>
    </row>
    <row r="10" spans="1:6" ht="45" x14ac:dyDescent="0.25">
      <c r="B10" s="8" t="s">
        <v>136</v>
      </c>
      <c r="C10" s="5" t="s">
        <v>6</v>
      </c>
      <c r="D10" s="31">
        <v>2.5000000000000001E-3</v>
      </c>
      <c r="E10" s="7" t="s">
        <v>19</v>
      </c>
    </row>
    <row r="11" spans="1:6" x14ac:dyDescent="0.25">
      <c r="B11" s="8" t="s">
        <v>67</v>
      </c>
      <c r="C11" s="5" t="s">
        <v>8</v>
      </c>
      <c r="D11" s="32" t="s">
        <v>68</v>
      </c>
      <c r="E11" s="6"/>
    </row>
    <row r="12" spans="1:6" x14ac:dyDescent="0.25">
      <c r="B12" s="8" t="s">
        <v>16</v>
      </c>
      <c r="C12" s="5" t="s">
        <v>12</v>
      </c>
      <c r="D12" s="31">
        <v>1.5E-3</v>
      </c>
      <c r="E12" s="6" t="s">
        <v>125</v>
      </c>
    </row>
    <row r="14" spans="1:6" x14ac:dyDescent="0.25">
      <c r="A14" s="6"/>
      <c r="B14" s="6"/>
      <c r="C14" s="3"/>
      <c r="D14" s="4" t="s">
        <v>69</v>
      </c>
      <c r="E14" s="4" t="s">
        <v>70</v>
      </c>
      <c r="F14" s="4" t="s">
        <v>71</v>
      </c>
    </row>
    <row r="15" spans="1:6" x14ac:dyDescent="0.25">
      <c r="A15" s="6"/>
      <c r="B15" s="6"/>
      <c r="C15" s="3" t="s">
        <v>115</v>
      </c>
      <c r="D15" s="36" t="s">
        <v>126</v>
      </c>
      <c r="E15" s="37"/>
      <c r="F15" s="38"/>
    </row>
    <row r="16" spans="1:6" x14ac:dyDescent="0.25">
      <c r="A16" s="6"/>
      <c r="B16" s="6"/>
      <c r="C16" s="3" t="s">
        <v>116</v>
      </c>
      <c r="D16" s="9">
        <v>0.25</v>
      </c>
      <c r="E16" s="9">
        <v>-0.05</v>
      </c>
      <c r="F16" s="9">
        <v>0</v>
      </c>
    </row>
    <row r="17" spans="1:10" ht="30" x14ac:dyDescent="0.25">
      <c r="A17" s="6" t="s">
        <v>26</v>
      </c>
      <c r="B17" s="6" t="s">
        <v>88</v>
      </c>
      <c r="C17" s="7" t="s">
        <v>72</v>
      </c>
      <c r="D17" s="23">
        <f>$D$8</f>
        <v>5000000</v>
      </c>
      <c r="E17" s="23">
        <f t="shared" ref="E17:F17" si="0">$D$8</f>
        <v>5000000</v>
      </c>
      <c r="F17" s="23">
        <f t="shared" si="0"/>
        <v>5000000</v>
      </c>
    </row>
    <row r="18" spans="1:10" ht="30" x14ac:dyDescent="0.25">
      <c r="A18" s="6" t="s">
        <v>28</v>
      </c>
      <c r="B18" s="6" t="s">
        <v>29</v>
      </c>
      <c r="C18" s="7" t="s">
        <v>73</v>
      </c>
      <c r="D18" s="23">
        <f>D17*D16</f>
        <v>1250000</v>
      </c>
      <c r="E18" s="23">
        <f t="shared" ref="E18:F18" si="1">E17*E16</f>
        <v>-250000</v>
      </c>
      <c r="F18" s="23">
        <f t="shared" si="1"/>
        <v>0</v>
      </c>
    </row>
    <row r="19" spans="1:10" ht="30" x14ac:dyDescent="0.25">
      <c r="A19" s="6" t="s">
        <v>31</v>
      </c>
      <c r="B19" s="6" t="s">
        <v>32</v>
      </c>
      <c r="C19" s="10" t="s">
        <v>33</v>
      </c>
      <c r="D19" s="23">
        <f>D17+D18</f>
        <v>6250000</v>
      </c>
      <c r="E19" s="23">
        <f t="shared" ref="E19:F19" si="2">E17+E18</f>
        <v>4750000</v>
      </c>
      <c r="F19" s="23">
        <f t="shared" si="2"/>
        <v>5000000</v>
      </c>
    </row>
    <row r="20" spans="1:10" ht="30" x14ac:dyDescent="0.25">
      <c r="A20" s="6" t="s">
        <v>34</v>
      </c>
      <c r="B20" s="6" t="s">
        <v>35</v>
      </c>
      <c r="C20" s="7" t="s">
        <v>127</v>
      </c>
      <c r="D20" s="23">
        <f>(D17+D19)/2</f>
        <v>5625000</v>
      </c>
      <c r="E20" s="23">
        <f t="shared" ref="E20:F20" si="3">(E17+E19)/2</f>
        <v>4875000</v>
      </c>
      <c r="F20" s="23">
        <f t="shared" si="3"/>
        <v>5000000</v>
      </c>
    </row>
    <row r="21" spans="1:10" x14ac:dyDescent="0.25">
      <c r="A21" s="6" t="s">
        <v>37</v>
      </c>
      <c r="B21" s="6" t="s">
        <v>38</v>
      </c>
      <c r="C21" s="6" t="s">
        <v>74</v>
      </c>
      <c r="D21" s="23">
        <f>-D20*$D$10</f>
        <v>-14062.5</v>
      </c>
      <c r="E21" s="23">
        <f>ROUNDDOWN(-E20*$D$10,0)</f>
        <v>-12187</v>
      </c>
      <c r="F21" s="23">
        <f t="shared" ref="F21" si="4">-F20*$D$10</f>
        <v>-12500</v>
      </c>
    </row>
    <row r="22" spans="1:10" x14ac:dyDescent="0.25">
      <c r="A22" s="6" t="s">
        <v>40</v>
      </c>
      <c r="B22" s="6" t="s">
        <v>151</v>
      </c>
      <c r="C22" s="6" t="s">
        <v>16</v>
      </c>
      <c r="D22" s="23">
        <f>-D20*$D$12</f>
        <v>-8437.5</v>
      </c>
      <c r="E22" s="23">
        <f t="shared" ref="E22:F22" si="5">-E20*$D$12</f>
        <v>-7312.5</v>
      </c>
      <c r="F22" s="23">
        <f t="shared" si="5"/>
        <v>-7500</v>
      </c>
    </row>
    <row r="23" spans="1:10" hidden="1" x14ac:dyDescent="0.25">
      <c r="A23" s="6"/>
      <c r="B23" s="6"/>
      <c r="C23" s="6"/>
      <c r="D23" s="23">
        <f>-(D20+D21+D22)*$D$9</f>
        <v>-140062.5</v>
      </c>
      <c r="E23" s="23">
        <f t="shared" ref="E23:F23" si="6">-(E20+E21+E22)*$D$9</f>
        <v>-121387.51250000001</v>
      </c>
      <c r="F23" s="23">
        <f t="shared" si="6"/>
        <v>-124500</v>
      </c>
    </row>
    <row r="24" spans="1:10" x14ac:dyDescent="0.25">
      <c r="A24" s="6" t="s">
        <v>42</v>
      </c>
      <c r="B24" s="6" t="s">
        <v>43</v>
      </c>
      <c r="C24" s="6" t="s">
        <v>128</v>
      </c>
      <c r="D24" s="23">
        <f>(D23*18%)+D23</f>
        <v>-165273.75</v>
      </c>
      <c r="E24" s="23">
        <f t="shared" ref="E24:F24" si="7">(E23*18%)+E23</f>
        <v>-143237.26475</v>
      </c>
      <c r="F24" s="23">
        <f t="shared" si="7"/>
        <v>-146910</v>
      </c>
      <c r="J24" s="20"/>
    </row>
    <row r="25" spans="1:10" x14ac:dyDescent="0.25">
      <c r="A25" s="6" t="s">
        <v>44</v>
      </c>
      <c r="B25" s="6" t="s">
        <v>75</v>
      </c>
      <c r="C25" s="10" t="s">
        <v>76</v>
      </c>
      <c r="D25" s="23">
        <f>(D21+D22+D24)</f>
        <v>-187773.75</v>
      </c>
      <c r="E25" s="23">
        <f t="shared" ref="E25:F25" si="8">(E21+E22+E24)</f>
        <v>-162736.76475</v>
      </c>
      <c r="F25" s="23">
        <f t="shared" si="8"/>
        <v>-166910</v>
      </c>
      <c r="J25" s="21"/>
    </row>
    <row r="26" spans="1:10" ht="45" x14ac:dyDescent="0.25">
      <c r="A26" s="6" t="s">
        <v>46</v>
      </c>
      <c r="B26" s="6" t="s">
        <v>77</v>
      </c>
      <c r="C26" s="10" t="s">
        <v>78</v>
      </c>
      <c r="D26" s="23">
        <f>(D19+D25)</f>
        <v>6062226.25</v>
      </c>
      <c r="E26" s="23">
        <f t="shared" ref="E26:F26" si="9">(E19+E25)</f>
        <v>4587263.2352499999</v>
      </c>
      <c r="F26" s="23">
        <f t="shared" si="9"/>
        <v>4833090</v>
      </c>
      <c r="J26" s="20"/>
    </row>
    <row r="27" spans="1:10" ht="31.5" customHeight="1" x14ac:dyDescent="0.25">
      <c r="A27" s="6" t="s">
        <v>48</v>
      </c>
      <c r="B27" s="6" t="s">
        <v>155</v>
      </c>
      <c r="C27" s="6" t="s">
        <v>129</v>
      </c>
      <c r="D27" s="24">
        <f>((D26-D17)/D17)</f>
        <v>0.21244525</v>
      </c>
      <c r="E27" s="24">
        <f t="shared" ref="E27:F27" si="10">((E26-E17)/E17)</f>
        <v>-8.2547352950000014E-2</v>
      </c>
      <c r="F27" s="24">
        <f t="shared" si="10"/>
        <v>-3.3382000000000002E-2</v>
      </c>
      <c r="J27" s="20"/>
    </row>
    <row r="28" spans="1:10" x14ac:dyDescent="0.25">
      <c r="J28" s="20"/>
    </row>
    <row r="30" spans="1:10" x14ac:dyDescent="0.25">
      <c r="A30" s="11" t="s">
        <v>130</v>
      </c>
    </row>
    <row r="31" spans="1:10" x14ac:dyDescent="0.25">
      <c r="A31" s="11" t="s">
        <v>119</v>
      </c>
    </row>
    <row r="32" spans="1:10" x14ac:dyDescent="0.25">
      <c r="A32" s="12" t="s">
        <v>120</v>
      </c>
    </row>
    <row r="33" spans="1:1" x14ac:dyDescent="0.25">
      <c r="A33" s="12" t="s">
        <v>121</v>
      </c>
    </row>
    <row r="34" spans="1:1" x14ac:dyDescent="0.25">
      <c r="A34" s="12" t="s">
        <v>122</v>
      </c>
    </row>
    <row r="35" spans="1:1" x14ac:dyDescent="0.25">
      <c r="A35" s="12" t="s">
        <v>141</v>
      </c>
    </row>
    <row r="36" spans="1:1" x14ac:dyDescent="0.25">
      <c r="A36" s="12" t="s">
        <v>124</v>
      </c>
    </row>
  </sheetData>
  <sheetProtection algorithmName="SHA-512" hashValue="COZvMiIuPxvVheMxnqKU7GLKOuOirRVuaDRGONBU7BB2xG3cWMZo6FMciKhmzF+GhvwE4FLp9Qi8SF4A/2aDYQ==" saltValue="r4VlFWiq/iKePZtQ24OD8Q==" spinCount="100000" sheet="1" objects="1" scenarios="1"/>
  <protectedRanges>
    <protectedRange sqref="D8:D12" name="Range1"/>
  </protectedRanges>
  <mergeCells count="1">
    <mergeCell ref="D15:F1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0603-E1C6-4819-99D1-6FA2C02BA5A2}">
  <dimension ref="A2:H45"/>
  <sheetViews>
    <sheetView topLeftCell="C26" workbookViewId="0">
      <selection activeCell="G38" sqref="G38"/>
    </sheetView>
  </sheetViews>
  <sheetFormatPr defaultColWidth="32.5703125" defaultRowHeight="15" x14ac:dyDescent="0.25"/>
  <cols>
    <col min="1" max="1" width="4.28515625" style="1" customWidth="1"/>
    <col min="2" max="3" width="32.5703125" style="1"/>
    <col min="4" max="4" width="24.28515625" style="1" customWidth="1"/>
    <col min="5" max="5" width="37.7109375" style="1" customWidth="1"/>
    <col min="6" max="7" width="32.5703125" style="1"/>
    <col min="8" max="8" width="22" style="1" customWidth="1"/>
    <col min="9" max="16384" width="32.5703125" style="1"/>
  </cols>
  <sheetData>
    <row r="2" spans="1:8" x14ac:dyDescent="0.25">
      <c r="C2" s="2" t="s">
        <v>143</v>
      </c>
    </row>
    <row r="3" spans="1:8" x14ac:dyDescent="0.25">
      <c r="C3" s="2" t="s">
        <v>132</v>
      </c>
    </row>
    <row r="4" spans="1:8" x14ac:dyDescent="0.25">
      <c r="A4" s="1" t="s">
        <v>113</v>
      </c>
      <c r="C4" s="2"/>
    </row>
    <row r="5" spans="1:8" x14ac:dyDescent="0.25">
      <c r="A5" s="1" t="s">
        <v>114</v>
      </c>
      <c r="C5" s="2"/>
    </row>
    <row r="6" spans="1:8" x14ac:dyDescent="0.25">
      <c r="C6" s="2"/>
    </row>
    <row r="7" spans="1:8" x14ac:dyDescent="0.25">
      <c r="B7" s="4" t="s">
        <v>0</v>
      </c>
      <c r="C7" s="4"/>
      <c r="D7" s="4" t="s">
        <v>1</v>
      </c>
      <c r="E7" s="4" t="s">
        <v>133</v>
      </c>
    </row>
    <row r="8" spans="1:8" x14ac:dyDescent="0.25">
      <c r="B8" s="8" t="s">
        <v>79</v>
      </c>
      <c r="C8" s="5" t="s">
        <v>4</v>
      </c>
      <c r="D8" s="34">
        <v>5000000</v>
      </c>
      <c r="E8" s="6"/>
    </row>
    <row r="9" spans="1:8" ht="30" x14ac:dyDescent="0.25">
      <c r="B9" s="15" t="s">
        <v>102</v>
      </c>
      <c r="C9" s="5" t="s">
        <v>5</v>
      </c>
      <c r="D9" s="30">
        <v>0.02</v>
      </c>
      <c r="E9" s="7" t="s">
        <v>107</v>
      </c>
    </row>
    <row r="10" spans="1:8" ht="30" x14ac:dyDescent="0.25">
      <c r="B10" s="8" t="s">
        <v>103</v>
      </c>
      <c r="C10" s="5" t="s">
        <v>6</v>
      </c>
      <c r="D10" s="31">
        <v>2.5000000000000001E-3</v>
      </c>
      <c r="E10" s="7" t="s">
        <v>108</v>
      </c>
    </row>
    <row r="11" spans="1:8" ht="75" x14ac:dyDescent="0.25">
      <c r="B11" s="15" t="s">
        <v>104</v>
      </c>
      <c r="C11" s="5" t="s">
        <v>8</v>
      </c>
      <c r="D11" s="30">
        <v>0.2</v>
      </c>
      <c r="E11" s="7" t="s">
        <v>109</v>
      </c>
    </row>
    <row r="12" spans="1:8" ht="30" x14ac:dyDescent="0.25">
      <c r="B12" s="22" t="s">
        <v>105</v>
      </c>
      <c r="C12" s="5" t="s">
        <v>12</v>
      </c>
      <c r="D12" s="30">
        <v>0.1</v>
      </c>
      <c r="E12" s="6" t="s">
        <v>110</v>
      </c>
    </row>
    <row r="13" spans="1:8" x14ac:dyDescent="0.25">
      <c r="B13" s="15" t="s">
        <v>13</v>
      </c>
      <c r="C13" s="5" t="s">
        <v>14</v>
      </c>
      <c r="D13" s="35">
        <v>5</v>
      </c>
      <c r="E13" s="6" t="s">
        <v>152</v>
      </c>
    </row>
    <row r="14" spans="1:8" x14ac:dyDescent="0.25">
      <c r="B14" s="8" t="s">
        <v>106</v>
      </c>
      <c r="C14" s="5" t="s">
        <v>17</v>
      </c>
      <c r="D14" s="31">
        <v>1.5E-3</v>
      </c>
      <c r="E14" s="6" t="s">
        <v>111</v>
      </c>
    </row>
    <row r="16" spans="1:8" x14ac:dyDescent="0.25">
      <c r="A16" s="12"/>
      <c r="B16" s="12"/>
      <c r="C16" s="12"/>
      <c r="D16" s="3" t="s">
        <v>81</v>
      </c>
      <c r="E16" s="3" t="s">
        <v>82</v>
      </c>
      <c r="F16" s="3" t="s">
        <v>83</v>
      </c>
      <c r="G16" s="3" t="s">
        <v>84</v>
      </c>
      <c r="H16" s="3" t="s">
        <v>85</v>
      </c>
    </row>
    <row r="17" spans="1:8" x14ac:dyDescent="0.25">
      <c r="A17" s="3"/>
      <c r="B17" s="3"/>
      <c r="C17" s="13" t="s">
        <v>25</v>
      </c>
      <c r="D17" s="39" t="s">
        <v>86</v>
      </c>
      <c r="E17" s="39"/>
      <c r="F17" s="39"/>
      <c r="G17" s="39"/>
      <c r="H17" s="39"/>
    </row>
    <row r="18" spans="1:8" x14ac:dyDescent="0.25">
      <c r="A18" s="6"/>
      <c r="B18" s="6"/>
      <c r="C18" s="7" t="s">
        <v>87</v>
      </c>
      <c r="D18" s="9">
        <v>0.4</v>
      </c>
      <c r="E18" s="9">
        <v>0</v>
      </c>
      <c r="F18" s="9">
        <v>0.05</v>
      </c>
      <c r="G18" s="9">
        <v>0.35</v>
      </c>
      <c r="H18" s="9">
        <v>0.45</v>
      </c>
    </row>
    <row r="19" spans="1:8" ht="30" x14ac:dyDescent="0.25">
      <c r="A19" s="6" t="s">
        <v>26</v>
      </c>
      <c r="B19" s="6" t="s">
        <v>88</v>
      </c>
      <c r="C19" s="7" t="s">
        <v>72</v>
      </c>
      <c r="D19" s="17">
        <f>$D$8</f>
        <v>5000000</v>
      </c>
      <c r="E19" s="17">
        <f>D28</f>
        <v>6834966.4000000004</v>
      </c>
      <c r="F19" s="17">
        <f>E28</f>
        <v>6646966.5481881602</v>
      </c>
      <c r="G19" s="17">
        <f t="shared" ref="G19:H19" si="0">F28</f>
        <v>6791915.3524325276</v>
      </c>
      <c r="H19" s="17">
        <f t="shared" si="0"/>
        <v>8949577.2701554168</v>
      </c>
    </row>
    <row r="20" spans="1:8" ht="30" x14ac:dyDescent="0.25">
      <c r="A20" s="6" t="s">
        <v>28</v>
      </c>
      <c r="B20" s="6" t="s">
        <v>89</v>
      </c>
      <c r="C20" s="7" t="s">
        <v>90</v>
      </c>
      <c r="D20" s="17">
        <f>D19*D18</f>
        <v>2000000</v>
      </c>
      <c r="E20" s="17">
        <f t="shared" ref="E20:H20" si="1">E19*E18</f>
        <v>0</v>
      </c>
      <c r="F20" s="17">
        <f t="shared" si="1"/>
        <v>332348.32740940806</v>
      </c>
      <c r="G20" s="17">
        <f t="shared" si="1"/>
        <v>2377170.3733513844</v>
      </c>
      <c r="H20" s="17">
        <f t="shared" si="1"/>
        <v>4027309.7715699375</v>
      </c>
    </row>
    <row r="21" spans="1:8" ht="30" x14ac:dyDescent="0.25">
      <c r="A21" s="6" t="s">
        <v>31</v>
      </c>
      <c r="B21" s="6" t="s">
        <v>32</v>
      </c>
      <c r="C21" s="7" t="s">
        <v>91</v>
      </c>
      <c r="D21" s="17">
        <f>+D19+D20</f>
        <v>7000000</v>
      </c>
      <c r="E21" s="17">
        <f t="shared" ref="E21:H21" si="2">+E19+E20</f>
        <v>6834966.4000000004</v>
      </c>
      <c r="F21" s="17">
        <f t="shared" si="2"/>
        <v>6979314.8755975682</v>
      </c>
      <c r="G21" s="17">
        <f t="shared" si="2"/>
        <v>9169085.7257839125</v>
      </c>
      <c r="H21" s="17">
        <f t="shared" si="2"/>
        <v>12976887.041725354</v>
      </c>
    </row>
    <row r="22" spans="1:8" ht="30" x14ac:dyDescent="0.25">
      <c r="A22" s="6" t="s">
        <v>34</v>
      </c>
      <c r="B22" s="6" t="s">
        <v>35</v>
      </c>
      <c r="C22" s="7" t="s">
        <v>92</v>
      </c>
      <c r="D22" s="17">
        <f>(D19+D21)/2</f>
        <v>6000000</v>
      </c>
      <c r="E22" s="17">
        <f t="shared" ref="E22:H22" si="3">(E19+E21)/2</f>
        <v>6834966.4000000004</v>
      </c>
      <c r="F22" s="17">
        <f t="shared" si="3"/>
        <v>6813140.7118928637</v>
      </c>
      <c r="G22" s="17">
        <f t="shared" si="3"/>
        <v>7980500.5391082205</v>
      </c>
      <c r="H22" s="17">
        <f t="shared" si="3"/>
        <v>10963232.155940386</v>
      </c>
    </row>
    <row r="23" spans="1:8" x14ac:dyDescent="0.25">
      <c r="A23" s="6" t="s">
        <v>37</v>
      </c>
      <c r="B23" s="6" t="s">
        <v>38</v>
      </c>
      <c r="C23" s="7" t="s">
        <v>80</v>
      </c>
      <c r="D23" s="17">
        <f>D22*-$D$10</f>
        <v>-15000</v>
      </c>
      <c r="E23" s="17">
        <f t="shared" ref="E23:H23" si="4">E22*-$D$10</f>
        <v>-17087.416000000001</v>
      </c>
      <c r="F23" s="17">
        <f t="shared" si="4"/>
        <v>-17032.851779732158</v>
      </c>
      <c r="G23" s="17">
        <f t="shared" si="4"/>
        <v>-19951.251347770551</v>
      </c>
      <c r="H23" s="17">
        <f t="shared" si="4"/>
        <v>-27408.080389850966</v>
      </c>
    </row>
    <row r="24" spans="1:8" x14ac:dyDescent="0.25">
      <c r="A24" s="6" t="s">
        <v>40</v>
      </c>
      <c r="B24" s="6" t="s">
        <v>41</v>
      </c>
      <c r="C24" s="7" t="s">
        <v>16</v>
      </c>
      <c r="D24" s="17">
        <f>D22*-$D$14</f>
        <v>-9000</v>
      </c>
      <c r="E24" s="17">
        <f t="shared" ref="E24:H24" si="5">E22*-$D$14</f>
        <v>-10252.4496</v>
      </c>
      <c r="F24" s="17">
        <f t="shared" si="5"/>
        <v>-10219.711067839296</v>
      </c>
      <c r="G24" s="17">
        <f t="shared" si="5"/>
        <v>-11970.750808662331</v>
      </c>
      <c r="H24" s="17">
        <f t="shared" si="5"/>
        <v>-16444.848233910579</v>
      </c>
    </row>
    <row r="25" spans="1:8" hidden="1" x14ac:dyDescent="0.25">
      <c r="A25" s="6"/>
      <c r="B25" s="6"/>
      <c r="C25" s="7"/>
      <c r="D25" s="17">
        <f>-(D22+D23+D24)*$D$9</f>
        <v>-119520</v>
      </c>
      <c r="E25" s="17">
        <f>-(E22+E23+E24)*$D$9</f>
        <v>-136152.530688</v>
      </c>
      <c r="F25" s="17">
        <f>-(F22+F23+F24)*$D$9</f>
        <v>-135717.76298090586</v>
      </c>
      <c r="G25" s="17">
        <f>-(G22+G23+G24)*$D$9</f>
        <v>-158971.57073903573</v>
      </c>
      <c r="H25" s="17">
        <f>-(H22+H23+H24)*$D$9</f>
        <v>-218387.58454633248</v>
      </c>
    </row>
    <row r="26" spans="1:8" ht="30" x14ac:dyDescent="0.25">
      <c r="A26" s="6" t="s">
        <v>42</v>
      </c>
      <c r="B26" s="6" t="s">
        <v>43</v>
      </c>
      <c r="C26" s="7" t="s">
        <v>134</v>
      </c>
      <c r="D26" s="17">
        <f>(D25*18%)+(D25)</f>
        <v>-141033.60000000001</v>
      </c>
      <c r="E26" s="17">
        <f>(E25*18%)+(E25)</f>
        <v>-160659.98621184001</v>
      </c>
      <c r="F26" s="17">
        <f>(F25*18%)+(F25)</f>
        <v>-160146.96031746891</v>
      </c>
      <c r="G26" s="17">
        <f>(G25*18%)+(G25)</f>
        <v>-187586.45347206216</v>
      </c>
      <c r="H26" s="17">
        <f>(H25*18%)+(H25)</f>
        <v>-257697.34976467234</v>
      </c>
    </row>
    <row r="27" spans="1:8" ht="30" x14ac:dyDescent="0.25">
      <c r="A27" s="6" t="s">
        <v>44</v>
      </c>
      <c r="B27" s="6" t="s">
        <v>75</v>
      </c>
      <c r="C27" s="10" t="s">
        <v>93</v>
      </c>
      <c r="D27" s="25">
        <f>(D26+D24+D23)</f>
        <v>-165033.60000000001</v>
      </c>
      <c r="E27" s="25">
        <f>(E26+E24+E23)</f>
        <v>-187999.85181184</v>
      </c>
      <c r="F27" s="25">
        <f>(F26+F24+F23)</f>
        <v>-187399.52316504036</v>
      </c>
      <c r="G27" s="25">
        <f>(G26+G24+G23)</f>
        <v>-219508.45562849502</v>
      </c>
      <c r="H27" s="25">
        <f>(H26+H24+H23)</f>
        <v>-301550.27838843386</v>
      </c>
    </row>
    <row r="28" spans="1:8" ht="30" x14ac:dyDescent="0.25">
      <c r="A28" s="6" t="s">
        <v>46</v>
      </c>
      <c r="B28" s="6" t="s">
        <v>77</v>
      </c>
      <c r="C28" s="10" t="s">
        <v>146</v>
      </c>
      <c r="D28" s="25">
        <f>D21+D27</f>
        <v>6834966.4000000004</v>
      </c>
      <c r="E28" s="25">
        <f>E21+E27</f>
        <v>6646966.5481881602</v>
      </c>
      <c r="F28" s="25">
        <f>F21+F27</f>
        <v>6791915.3524325276</v>
      </c>
      <c r="G28" s="25">
        <f>G21+G27</f>
        <v>8949577.2701554168</v>
      </c>
      <c r="H28" s="25">
        <f>H21+H27</f>
        <v>12675336.763336921</v>
      </c>
    </row>
    <row r="29" spans="1:8" ht="30" x14ac:dyDescent="0.25">
      <c r="A29" s="6" t="s">
        <v>48</v>
      </c>
      <c r="B29" s="6" t="s">
        <v>94</v>
      </c>
      <c r="C29" s="7" t="s">
        <v>142</v>
      </c>
      <c r="D29" s="17"/>
      <c r="E29" s="17"/>
      <c r="F29" s="17"/>
      <c r="G29" s="17"/>
      <c r="H29" s="17">
        <f>((D12*D13)*D8)+D19</f>
        <v>7500000</v>
      </c>
    </row>
    <row r="30" spans="1:8" ht="30" x14ac:dyDescent="0.25">
      <c r="A30" s="6" t="s">
        <v>51</v>
      </c>
      <c r="B30" s="6" t="s">
        <v>95</v>
      </c>
      <c r="C30" s="7" t="s">
        <v>96</v>
      </c>
      <c r="D30" s="17"/>
      <c r="E30" s="17"/>
      <c r="F30" s="17"/>
      <c r="G30" s="17"/>
      <c r="H30" s="17" t="str">
        <f>IF(H28&gt;H29,"Yes","No")</f>
        <v>Yes</v>
      </c>
    </row>
    <row r="31" spans="1:8" ht="30" x14ac:dyDescent="0.25">
      <c r="A31" s="6" t="s">
        <v>53</v>
      </c>
      <c r="B31" s="6" t="s">
        <v>154</v>
      </c>
      <c r="C31" s="7" t="s">
        <v>55</v>
      </c>
      <c r="D31" s="17"/>
      <c r="E31" s="17"/>
      <c r="F31" s="17"/>
      <c r="G31" s="17"/>
      <c r="H31" s="18">
        <f>H28-H29</f>
        <v>5175336.7633369211</v>
      </c>
    </row>
    <row r="32" spans="1:8" hidden="1" x14ac:dyDescent="0.25">
      <c r="A32" s="6"/>
      <c r="B32" s="6"/>
      <c r="C32" s="7"/>
      <c r="D32" s="17"/>
      <c r="E32" s="17"/>
      <c r="F32" s="17"/>
      <c r="G32" s="17"/>
      <c r="H32" s="18">
        <f>H31*D11</f>
        <v>1035067.3526673843</v>
      </c>
    </row>
    <row r="33" spans="1:8" ht="30" x14ac:dyDescent="0.25">
      <c r="A33" s="6" t="s">
        <v>56</v>
      </c>
      <c r="B33" s="6" t="s">
        <v>97</v>
      </c>
      <c r="C33" s="7" t="s">
        <v>98</v>
      </c>
      <c r="D33" s="17"/>
      <c r="E33" s="17"/>
      <c r="F33" s="17"/>
      <c r="G33" s="17"/>
      <c r="H33" s="18">
        <f>(H32*18%)+H32</f>
        <v>1221379.4761475134</v>
      </c>
    </row>
    <row r="34" spans="1:8" ht="45" x14ac:dyDescent="0.25">
      <c r="A34" s="6" t="s">
        <v>59</v>
      </c>
      <c r="B34" s="6"/>
      <c r="C34" s="10" t="s">
        <v>99</v>
      </c>
      <c r="D34" s="17">
        <f>D28</f>
        <v>6834966.4000000004</v>
      </c>
      <c r="E34" s="17">
        <f t="shared" ref="E34:G34" si="6">E28</f>
        <v>6646966.5481881602</v>
      </c>
      <c r="F34" s="17">
        <f t="shared" si="6"/>
        <v>6791915.3524325276</v>
      </c>
      <c r="G34" s="17">
        <f t="shared" si="6"/>
        <v>8949577.2701554168</v>
      </c>
      <c r="H34" s="18">
        <f>H28-H33</f>
        <v>11453957.287189407</v>
      </c>
    </row>
    <row r="35" spans="1:8" x14ac:dyDescent="0.25">
      <c r="A35" s="6" t="s">
        <v>61</v>
      </c>
      <c r="B35" s="6" t="s">
        <v>100</v>
      </c>
      <c r="C35" s="7" t="s">
        <v>153</v>
      </c>
      <c r="D35" s="26">
        <f>(D34-D19)/D19</f>
        <v>0.36699328000000009</v>
      </c>
      <c r="E35" s="26">
        <f>(E34-E19)/E19</f>
        <v>-2.7505600000000029E-2</v>
      </c>
      <c r="F35" s="26">
        <f>(F34-F19)/F19</f>
        <v>2.1806759999999963E-2</v>
      </c>
      <c r="G35" s="26">
        <f>(G34-G19)/G19</f>
        <v>0.31768091999999992</v>
      </c>
      <c r="H35" s="26">
        <f>(H34-H19)/H19</f>
        <v>0.27983221345945203</v>
      </c>
    </row>
    <row r="36" spans="1:8" ht="30" x14ac:dyDescent="0.25">
      <c r="A36" s="6" t="s">
        <v>64</v>
      </c>
      <c r="B36" s="6" t="s">
        <v>101</v>
      </c>
      <c r="C36" s="14" t="s">
        <v>66</v>
      </c>
      <c r="D36" s="16"/>
      <c r="E36" s="16"/>
      <c r="F36" s="16"/>
      <c r="G36" s="16"/>
      <c r="H36" s="17">
        <f>H28</f>
        <v>12675336.763336921</v>
      </c>
    </row>
    <row r="38" spans="1:8" x14ac:dyDescent="0.25">
      <c r="A38" s="11" t="s">
        <v>130</v>
      </c>
      <c r="B38" s="12"/>
      <c r="C38" s="12"/>
    </row>
    <row r="39" spans="1:8" x14ac:dyDescent="0.25">
      <c r="A39" s="11" t="s">
        <v>119</v>
      </c>
      <c r="B39" s="12"/>
      <c r="C39" s="12"/>
    </row>
    <row r="40" spans="1:8" x14ac:dyDescent="0.25">
      <c r="A40" s="12" t="s">
        <v>120</v>
      </c>
      <c r="B40" s="12"/>
      <c r="C40" s="12"/>
    </row>
    <row r="41" spans="1:8" x14ac:dyDescent="0.25">
      <c r="A41" s="12" t="s">
        <v>121</v>
      </c>
      <c r="B41" s="12"/>
      <c r="C41" s="12"/>
    </row>
    <row r="42" spans="1:8" x14ac:dyDescent="0.25">
      <c r="A42" s="12" t="s">
        <v>122</v>
      </c>
      <c r="B42" s="12"/>
      <c r="C42" s="12"/>
    </row>
    <row r="43" spans="1:8" x14ac:dyDescent="0.25">
      <c r="A43" s="12" t="s">
        <v>123</v>
      </c>
      <c r="B43" s="12"/>
      <c r="C43" s="12"/>
    </row>
    <row r="44" spans="1:8" x14ac:dyDescent="0.25">
      <c r="A44" s="12" t="s">
        <v>144</v>
      </c>
      <c r="B44" s="12"/>
      <c r="C44" s="12"/>
    </row>
    <row r="45" spans="1:8" x14ac:dyDescent="0.25">
      <c r="A45" s="12" t="s">
        <v>147</v>
      </c>
      <c r="B45" s="12"/>
      <c r="C45" s="12"/>
    </row>
  </sheetData>
  <sheetProtection algorithmName="SHA-512" hashValue="wb0qbR22bmiU3wPIjJa9GS/vMPKX428rbh8eSLsuRLNGWXXcOt3YD56gpuFU9bxTB+o8dePOP6bt7LIkwUHRbA==" saltValue="BR/Pw/1vXW8OVSqwkzLeQQ==" spinCount="100000" sheet="1" objects="1" scenarios="1"/>
  <protectedRanges>
    <protectedRange sqref="D8:D14" name="Range1"/>
  </protectedRanges>
  <mergeCells count="1">
    <mergeCell ref="D17:H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HYBRID FEE-ONE YEAR </vt:lpstr>
      <vt:lpstr>FIXED FEE-ONE YEAR </vt:lpstr>
      <vt:lpstr>HYBRID FEE-MULTI YEAR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Ojas Sadaye</dc:creator>
  <cp:lastModifiedBy>Ojas Sadaye</cp:lastModifiedBy>
  <cp:lastPrinted>2024-09-24T11:08:37Z</cp:lastPrinted>
  <dcterms:created xsi:type="dcterms:W3CDTF">2024-09-24T09:56:24Z</dcterms:created>
  <dcterms:modified xsi:type="dcterms:W3CDTF">2025-04-16T07:48:35Z</dcterms:modified>
</cp:coreProperties>
</file>